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" sheetId="7" r:id="rId7"/>
  </sheets>
  <definedNames>
    <definedName name="_xlnm.Print_Area" localSheetId="6">'січень'!$A$1:$R$87</definedName>
  </definedNames>
  <calcPr fullCalcOnLoad="1"/>
</workbook>
</file>

<file path=xl/sharedStrings.xml><?xml version="1.0" encoding="utf-8"?>
<sst xmlns="http://schemas.openxmlformats.org/spreadsheetml/2006/main" count="891" uniqueCount="178">
  <si>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</si>
  <si>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</si>
  <si>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</si>
  <si>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</si>
  <si>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</si>
  <si>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</si>
  <si>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</si>
  <si>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</si>
  <si>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</si>
  <si>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</si>
  <si>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</si>
  <si>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</si>
  <si>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</si>
  <si>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</si>
  <si>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</si>
  <si>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</si>
  <si>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</si>
  <si>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</si>
  <si>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</si>
  <si>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</si>
  <si>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</si>
  <si>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</si>
  <si>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</si>
  <si>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</si>
  <si>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</si>
  <si>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</si>
  <si>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</si>
  <si>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</si>
  <si>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</si>
  <si>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</si>
  <si>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</si>
  <si>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</si>
  <si>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</si>
  <si>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</si>
  <si>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</si>
  <si>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</si>
  <si>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</si>
  <si>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</si>
  <si>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</si>
  <si>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</si>
  <si>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</si>
  <si>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</si>
  <si>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</si>
  <si>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</si>
  <si>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</si>
  <si>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</si>
  <si>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</si>
  <si>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</si>
  <si>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</si>
  <si>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</si>
  <si>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</si>
  <si>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</si>
  <si>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</si>
  <si>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</si>
  <si>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</si>
  <si>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</si>
  <si>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</si>
  <si>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</si>
  <si>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</si>
  <si>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</si>
  <si>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</si>
  <si>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</si>
  <si>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</si>
  <si>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</si>
  <si>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</si>
  <si>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</si>
  <si>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</si>
  <si>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</si>
  <si>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</si>
  <si>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</si>
  <si>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</si>
  <si>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</si>
  <si>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</si>
  <si>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</si>
  <si>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</si>
  <si>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</si>
  <si>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</si>
  <si>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</si>
  <si>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</si>
  <si>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</si>
  <si>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</si>
  <si>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</si>
  <si>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</si>
  <si>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</si>
  <si>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</si>
  <si>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</si>
  <si>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</si>
  <si>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</si>
  <si>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</si>
  <si>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</si>
  <si>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</si>
  <si>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</si>
  <si>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</si>
  <si>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</si>
  <si>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</si>
  <si>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</si>
  <si>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</si>
  <si>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</si>
  <si>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</si>
  <si>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</si>
  <si>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</si>
  <si>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</si>
  <si>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</si>
  <si>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</si>
  <si>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</si>
  <si>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</si>
  <si>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</si>
  <si>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</si>
  <si>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</si>
  <si>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</si>
  <si>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</si>
  <si>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</si>
  <si>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</si>
  <si>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</si>
  <si>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</si>
  <si>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</si>
  <si>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</si>
  <si>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</si>
  <si>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</si>
  <si>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</si>
  <si>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</si>
  <si>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</si>
  <si>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</si>
  <si>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</si>
  <si>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</si>
  <si>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</si>
  <si>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</si>
  <si>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</si>
  <si>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</si>
  <si>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</si>
  <si>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</si>
  <si>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</si>
  <si>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</si>
  <si>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</si>
  <si>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</si>
  <si>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</si>
  <si>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</si>
  <si>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</si>
  <si>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</si>
  <si>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</si>
  <si>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</si>
  <si>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</si>
  <si>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</si>
  <si>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</si>
  <si>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</si>
  <si>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</si>
  <si>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</si>
  <si>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</si>
  <si>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</si>
  <si>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</si>
  <si>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</si>
  <si>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</si>
  <si>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</si>
  <si>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</si>
  <si>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</si>
  <si>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</si>
  <si>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</si>
  <si>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</si>
  <si>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</si>
  <si>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</si>
  <si>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</si>
  <si>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</si>
  <si>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</si>
  <si>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</si>
  <si>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</si>
  <si>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</si>
  <si>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</si>
  <si>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</si>
  <si>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</si>
  <si>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</si>
  <si>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</si>
  <si>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</si>
  <si>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</si>
  <si>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</si>
  <si>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</si>
  <si>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</si>
  <si>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07.06.2016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</si>
  <si>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06.06.16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</si>
</sst>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8" t="s">
        <v>176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69"/>
      <c r="C2" s="269"/>
      <c r="D2" s="26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/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78" t="s">
        <v>172</v>
      </c>
      <c r="N3" s="279" t="s">
        <v>173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170</v>
      </c>
      <c r="F4" s="262" t="s">
        <v>34</v>
      </c>
      <c r="G4" s="256" t="s">
        <v>171</v>
      </c>
      <c r="H4" s="264" t="s">
        <v>175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66" t="s">
        <v>177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78.75" customHeight="1">
      <c r="A5" s="271"/>
      <c r="B5" s="272"/>
      <c r="C5" s="273"/>
      <c r="D5" s="274"/>
      <c r="E5" s="281"/>
      <c r="F5" s="263"/>
      <c r="G5" s="257"/>
      <c r="H5" s="265"/>
      <c r="I5" s="257"/>
      <c r="J5" s="265"/>
      <c r="K5" s="259" t="s">
        <v>174</v>
      </c>
      <c r="L5" s="260"/>
      <c r="M5" s="265"/>
      <c r="N5" s="26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191">
        <f>F9+F15+F18+F19+F20+F36+F17</f>
        <v>382957.87999999995</v>
      </c>
      <c r="G8" s="191">
        <f aca="true" t="shared" si="0" ref="G8:G36">F8-E8</f>
        <v>-37277.90000000002</v>
      </c>
      <c r="H8" s="192">
        <f>F8/E8*100</f>
        <v>91.12928937179028</v>
      </c>
      <c r="I8" s="193">
        <f>F8-D8</f>
        <v>-458092.12000000005</v>
      </c>
      <c r="J8" s="193">
        <f>F8/D8*100</f>
        <v>45.53330717555436</v>
      </c>
      <c r="K8" s="191">
        <f>F8-305119.12</f>
        <v>77838.75999999995</v>
      </c>
      <c r="L8" s="191">
        <f>F8/305119.12*100</f>
        <v>125.51094143166117</v>
      </c>
      <c r="M8" s="191">
        <f>M9+M15+M18+M19+M20+M17</f>
        <v>67799.29999999999</v>
      </c>
      <c r="N8" s="191">
        <f>N9+N15+N18+N19+N20+N17</f>
        <v>7962.929999999986</v>
      </c>
      <c r="O8" s="191">
        <f>N8-M8</f>
        <v>-59836.37</v>
      </c>
      <c r="P8" s="191">
        <f>N8/M8*100</f>
        <v>11.744855772847194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6">
        <v>205839.78</v>
      </c>
      <c r="G9" s="190">
        <f t="shared" si="0"/>
        <v>-18064.48999999999</v>
      </c>
      <c r="H9" s="197">
        <f>F9/E9*100</f>
        <v>91.93204756657835</v>
      </c>
      <c r="I9" s="198">
        <f>F9-D9</f>
        <v>-253860.22</v>
      </c>
      <c r="J9" s="198">
        <f>F9/D9*100</f>
        <v>44.77698063954753</v>
      </c>
      <c r="K9" s="199">
        <f>F9-171379.72</f>
        <v>34460.06</v>
      </c>
      <c r="L9" s="199">
        <f>F9/171379.72*100</f>
        <v>120.10743161442905</v>
      </c>
      <c r="M9" s="197">
        <f>E9-травень!E9</f>
        <v>41002</v>
      </c>
      <c r="N9" s="200">
        <f>F9-травень!F9</f>
        <v>6738.859999999986</v>
      </c>
      <c r="O9" s="201">
        <f>N9-M9</f>
        <v>-34263.140000000014</v>
      </c>
      <c r="P9" s="198">
        <f>N9/M9*100</f>
        <v>16.435442173552474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71">
        <v>180840.91</v>
      </c>
      <c r="G10" s="109">
        <f t="shared" si="0"/>
        <v>-18454.929999999993</v>
      </c>
      <c r="H10" s="32">
        <f aca="true" t="shared" si="1" ref="H10:H35">F10/E10*100</f>
        <v>90.73993215312473</v>
      </c>
      <c r="I10" s="110">
        <f aca="true" t="shared" si="2" ref="I10:I36">F10-D10</f>
        <v>-230599.09</v>
      </c>
      <c r="J10" s="110">
        <f aca="true" t="shared" si="3" ref="J10:J35">F10/D10*100</f>
        <v>43.95316692591872</v>
      </c>
      <c r="K10" s="112">
        <f>F10-152226.9</f>
        <v>28614.01000000001</v>
      </c>
      <c r="L10" s="112">
        <f>F10/152226.9*100</f>
        <v>118.7969471887032</v>
      </c>
      <c r="M10" s="111">
        <f>E10-травень!E10</f>
        <v>37450</v>
      </c>
      <c r="N10" s="179">
        <f>F10-травень!F10</f>
        <v>6672.580000000016</v>
      </c>
      <c r="O10" s="112">
        <f aca="true" t="shared" si="4" ref="O10:O36">N10-M10</f>
        <v>-30777.419999999984</v>
      </c>
      <c r="P10" s="198">
        <f aca="true" t="shared" si="5" ref="P10:P16">N10/M10*100</f>
        <v>17.81730307076106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71">
        <v>14679.78</v>
      </c>
      <c r="G11" s="109">
        <f t="shared" si="0"/>
        <v>514.8400000000001</v>
      </c>
      <c r="H11" s="32">
        <f t="shared" si="1"/>
        <v>103.6346077004209</v>
      </c>
      <c r="I11" s="110">
        <f t="shared" si="2"/>
        <v>-8320.22</v>
      </c>
      <c r="J11" s="110">
        <f t="shared" si="3"/>
        <v>63.82513043478261</v>
      </c>
      <c r="K11" s="112">
        <f>F11-9213.1</f>
        <v>5466.68</v>
      </c>
      <c r="L11" s="112">
        <f>F11/9213.1*100</f>
        <v>159.3359455557847</v>
      </c>
      <c r="M11" s="111">
        <f>E11-травень!E11</f>
        <v>1600</v>
      </c>
      <c r="N11" s="179">
        <f>F11-травень!F11</f>
        <v>0.5300000000006548</v>
      </c>
      <c r="O11" s="112">
        <f t="shared" si="4"/>
        <v>-1599.4699999999993</v>
      </c>
      <c r="P11" s="198">
        <f t="shared" si="5"/>
        <v>0.03312500000004093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71">
        <v>4653.88</v>
      </c>
      <c r="G12" s="109">
        <f t="shared" si="0"/>
        <v>1933.27</v>
      </c>
      <c r="H12" s="32">
        <f t="shared" si="1"/>
        <v>171.0601666538019</v>
      </c>
      <c r="I12" s="110">
        <f t="shared" si="2"/>
        <v>-1846.12</v>
      </c>
      <c r="J12" s="110">
        <f t="shared" si="3"/>
        <v>71.59815384615385</v>
      </c>
      <c r="K12" s="112">
        <f>F12-2592.53</f>
        <v>2061.35</v>
      </c>
      <c r="L12" s="112">
        <f>F12/2592.53*100</f>
        <v>179.51113391166157</v>
      </c>
      <c r="M12" s="111">
        <f>E12-травень!E12</f>
        <v>500</v>
      </c>
      <c r="N12" s="179">
        <f>F12-травень!F12</f>
        <v>70.65000000000055</v>
      </c>
      <c r="O12" s="112">
        <f t="shared" si="4"/>
        <v>-429.34999999999945</v>
      </c>
      <c r="P12" s="198">
        <f t="shared" si="5"/>
        <v>14.13000000000011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71">
        <v>3758.53</v>
      </c>
      <c r="G13" s="109">
        <f t="shared" si="0"/>
        <v>-826.31</v>
      </c>
      <c r="H13" s="32">
        <f t="shared" si="1"/>
        <v>81.97734272079288</v>
      </c>
      <c r="I13" s="110">
        <f t="shared" si="2"/>
        <v>-8641.47</v>
      </c>
      <c r="J13" s="110">
        <f t="shared" si="3"/>
        <v>30.310725806451615</v>
      </c>
      <c r="K13" s="112">
        <f>F13-2783.41</f>
        <v>975.1200000000003</v>
      </c>
      <c r="L13" s="112">
        <f>F13/2783.41*100</f>
        <v>135.03328650827584</v>
      </c>
      <c r="M13" s="111">
        <f>E13-травень!E13</f>
        <v>820</v>
      </c>
      <c r="N13" s="179">
        <f>F13-травень!F13</f>
        <v>-4.9099999999998545</v>
      </c>
      <c r="O13" s="112">
        <f t="shared" si="4"/>
        <v>-824.9099999999999</v>
      </c>
      <c r="P13" s="198">
        <f t="shared" si="5"/>
        <v>-0.5987804878048603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71">
        <v>1906.68</v>
      </c>
      <c r="G14" s="109">
        <f t="shared" si="0"/>
        <v>-1231.36</v>
      </c>
      <c r="H14" s="32">
        <f t="shared" si="1"/>
        <v>60.76021975500632</v>
      </c>
      <c r="I14" s="110">
        <f t="shared" si="2"/>
        <v>-4453.32</v>
      </c>
      <c r="J14" s="110">
        <f t="shared" si="3"/>
        <v>29.97924528301887</v>
      </c>
      <c r="K14" s="112">
        <f>F14-4563.77</f>
        <v>-2657.09</v>
      </c>
      <c r="L14" s="112">
        <f>F14/4563.77*100</f>
        <v>41.77861723969437</v>
      </c>
      <c r="M14" s="111">
        <f>E14-травень!E14</f>
        <v>632</v>
      </c>
      <c r="N14" s="179">
        <f>F14-травень!F14</f>
        <v>0</v>
      </c>
      <c r="O14" s="112">
        <f t="shared" si="4"/>
        <v>-632</v>
      </c>
      <c r="P14" s="198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6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6">
        <v>35250.23</v>
      </c>
      <c r="G19" s="190">
        <f t="shared" si="0"/>
        <v>-12610.169999999998</v>
      </c>
      <c r="H19" s="197">
        <f t="shared" si="1"/>
        <v>73.65218426924974</v>
      </c>
      <c r="I19" s="198">
        <f t="shared" si="2"/>
        <v>-74649.76999999999</v>
      </c>
      <c r="J19" s="198">
        <f t="shared" si="3"/>
        <v>32.074822565969065</v>
      </c>
      <c r="K19" s="209">
        <f>F19-30116.49</f>
        <v>5133.740000000002</v>
      </c>
      <c r="L19" s="209">
        <f>F19/30116.49*100</f>
        <v>117.0462759770478</v>
      </c>
      <c r="M19" s="197">
        <f>E19-травень!E19</f>
        <v>9800</v>
      </c>
      <c r="N19" s="200">
        <f>F19-травень!F19</f>
        <v>19.67000000000553</v>
      </c>
      <c r="O19" s="201">
        <f t="shared" si="4"/>
        <v>-9780.329999999994</v>
      </c>
      <c r="P19" s="198">
        <f aca="true" t="shared" si="6" ref="P19:P24">N19/M19*100</f>
        <v>0.20071428571434213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10">
        <f>F21+F29+F31+F30</f>
        <v>141452.65999999997</v>
      </c>
      <c r="G20" s="190">
        <f t="shared" si="0"/>
        <v>-6768.450000000012</v>
      </c>
      <c r="H20" s="197">
        <f t="shared" si="1"/>
        <v>95.43354519474317</v>
      </c>
      <c r="I20" s="198">
        <f t="shared" si="2"/>
        <v>-129487.34000000003</v>
      </c>
      <c r="J20" s="198">
        <f t="shared" si="3"/>
        <v>52.20811249723185</v>
      </c>
      <c r="K20" s="198">
        <f>F20-100444.36</f>
        <v>41008.299999999974</v>
      </c>
      <c r="L20" s="198">
        <f>F20/100444.36*100</f>
        <v>140.8268816686173</v>
      </c>
      <c r="M20" s="197">
        <f>M21+M29+M30+M31</f>
        <v>16992.299999999985</v>
      </c>
      <c r="N20" s="200">
        <f>F20-травень!F20</f>
        <v>1204.3999999999942</v>
      </c>
      <c r="O20" s="201">
        <f t="shared" si="4"/>
        <v>-15787.89999999999</v>
      </c>
      <c r="P20" s="198">
        <f t="shared" si="6"/>
        <v>7.087916291496708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211">
        <f>F22+F25+F26</f>
        <v>72005.7</v>
      </c>
      <c r="G21" s="190">
        <f t="shared" si="0"/>
        <v>-6137.6600000000035</v>
      </c>
      <c r="H21" s="197">
        <f t="shared" si="1"/>
        <v>92.14564103719113</v>
      </c>
      <c r="I21" s="198">
        <f t="shared" si="2"/>
        <v>-89394.3</v>
      </c>
      <c r="J21" s="198">
        <f t="shared" si="3"/>
        <v>44.613197026022306</v>
      </c>
      <c r="K21" s="198">
        <f>F21-54757.32</f>
        <v>17248.379999999997</v>
      </c>
      <c r="L21" s="198">
        <f>F21/54757.32*100</f>
        <v>131.4996789470339</v>
      </c>
      <c r="M21" s="197">
        <f>M22+M25+M26</f>
        <v>13047.099999999999</v>
      </c>
      <c r="N21" s="200">
        <f>F21-травень!F21</f>
        <v>465.5599999999977</v>
      </c>
      <c r="O21" s="201">
        <f t="shared" si="4"/>
        <v>-12581.54</v>
      </c>
      <c r="P21" s="198">
        <f t="shared" si="6"/>
        <v>3.568302534662858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3">
        <v>8652.21</v>
      </c>
      <c r="G22" s="212">
        <f t="shared" si="0"/>
        <v>40.60999999999876</v>
      </c>
      <c r="H22" s="214">
        <f t="shared" si="1"/>
        <v>100.47157322681034</v>
      </c>
      <c r="I22" s="215">
        <f t="shared" si="2"/>
        <v>-9847.79</v>
      </c>
      <c r="J22" s="215">
        <f t="shared" si="3"/>
        <v>46.7687027027027</v>
      </c>
      <c r="K22" s="216">
        <f>F22-4957.1</f>
        <v>3695.1099999999988</v>
      </c>
      <c r="L22" s="216">
        <f>F22/4957.1*100</f>
        <v>174.5417683726372</v>
      </c>
      <c r="M22" s="214">
        <f>E22-травень!E22</f>
        <v>240</v>
      </c>
      <c r="N22" s="217">
        <f>F22-травень!F22</f>
        <v>12.05999999999949</v>
      </c>
      <c r="O22" s="218">
        <f t="shared" si="4"/>
        <v>-227.9400000000005</v>
      </c>
      <c r="P22" s="215">
        <f t="shared" si="6"/>
        <v>5.024999999999788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3">
        <v>263.65</v>
      </c>
      <c r="G23" s="241">
        <f t="shared" si="0"/>
        <v>-125.45000000000005</v>
      </c>
      <c r="H23" s="242">
        <f t="shared" si="1"/>
        <v>67.75893086610125</v>
      </c>
      <c r="I23" s="243">
        <f t="shared" si="2"/>
        <v>-1736.35</v>
      </c>
      <c r="J23" s="243">
        <f t="shared" si="3"/>
        <v>13.1825</v>
      </c>
      <c r="K23" s="244">
        <f>F23-284.18</f>
        <v>-20.53000000000003</v>
      </c>
      <c r="L23" s="244">
        <f>F23/284.18*100</f>
        <v>92.77570553874304</v>
      </c>
      <c r="M23" s="239">
        <f>E23-травень!E23</f>
        <v>40</v>
      </c>
      <c r="N23" s="239">
        <f>F23-травень!F23</f>
        <v>0</v>
      </c>
      <c r="O23" s="240">
        <f t="shared" si="4"/>
        <v>-40</v>
      </c>
      <c r="P23" s="240">
        <f t="shared" si="6"/>
        <v>0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3">
        <v>8288.56</v>
      </c>
      <c r="G24" s="241">
        <f t="shared" si="0"/>
        <v>66.05999999999949</v>
      </c>
      <c r="H24" s="242">
        <f t="shared" si="1"/>
        <v>100.80340529036181</v>
      </c>
      <c r="I24" s="243">
        <f t="shared" si="2"/>
        <v>-8211.44</v>
      </c>
      <c r="J24" s="243">
        <f t="shared" si="3"/>
        <v>50.233696969696965</v>
      </c>
      <c r="K24" s="244">
        <f>F24-4672.92</f>
        <v>3615.6399999999994</v>
      </c>
      <c r="L24" s="244">
        <f>F24/4672.92*100</f>
        <v>177.37431841332614</v>
      </c>
      <c r="M24" s="239">
        <f>E24-травень!E24</f>
        <v>200</v>
      </c>
      <c r="N24" s="239">
        <f>F24-травень!F24</f>
        <v>-87.94000000000051</v>
      </c>
      <c r="O24" s="240">
        <f t="shared" si="4"/>
        <v>-287.9400000000005</v>
      </c>
      <c r="P24" s="240">
        <f t="shared" si="6"/>
        <v>-43.970000000000255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0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F25-210.68</f>
        <v>209.39999999999998</v>
      </c>
      <c r="L25" s="215">
        <f>F25/210.68*100</f>
        <v>199.39244351623313</v>
      </c>
      <c r="M25" s="214">
        <f>E25-травень!E25</f>
        <v>0</v>
      </c>
      <c r="N25" s="217">
        <f>F25-травень!F25</f>
        <v>0</v>
      </c>
      <c r="O25" s="218">
        <f t="shared" si="4"/>
        <v>0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3">
        <v>62933.41</v>
      </c>
      <c r="G26" s="212">
        <f t="shared" si="0"/>
        <v>-6321.509999999995</v>
      </c>
      <c r="H26" s="214">
        <f t="shared" si="1"/>
        <v>90.87211421224659</v>
      </c>
      <c r="I26" s="215">
        <f t="shared" si="2"/>
        <v>-77166.59</v>
      </c>
      <c r="J26" s="215">
        <f t="shared" si="3"/>
        <v>44.920349750178445</v>
      </c>
      <c r="K26" s="216">
        <f>F26-49589.53</f>
        <v>13343.880000000005</v>
      </c>
      <c r="L26" s="216">
        <f>F26/49589.53*100</f>
        <v>126.90866398612772</v>
      </c>
      <c r="M26" s="214">
        <f>E26-травень!E26</f>
        <v>12807.099999999999</v>
      </c>
      <c r="N26" s="217">
        <f>F26-травень!F26</f>
        <v>453.5</v>
      </c>
      <c r="O26" s="218">
        <f t="shared" si="4"/>
        <v>-12353.599999999999</v>
      </c>
      <c r="P26" s="215">
        <f>N26/M26*100</f>
        <v>3.541004599011486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3">
        <v>19478.67</v>
      </c>
      <c r="G27" s="241">
        <f t="shared" si="0"/>
        <v>48.919999999998254</v>
      </c>
      <c r="H27" s="242">
        <f t="shared" si="1"/>
        <v>100.25177884429803</v>
      </c>
      <c r="I27" s="243">
        <f t="shared" si="2"/>
        <v>-18578.33</v>
      </c>
      <c r="J27" s="243">
        <f t="shared" si="3"/>
        <v>51.18288356938277</v>
      </c>
      <c r="K27" s="244">
        <f>F27-12926</f>
        <v>6552.669999999998</v>
      </c>
      <c r="L27" s="244">
        <f>F27/12926*100</f>
        <v>150.6937180875754</v>
      </c>
      <c r="M27" s="239">
        <f>E27-12724.05</f>
        <v>6705.700000000001</v>
      </c>
      <c r="N27" s="239">
        <f>F27-15205.9</f>
        <v>4272.769999999999</v>
      </c>
      <c r="O27" s="240">
        <f t="shared" si="4"/>
        <v>-2432.930000000002</v>
      </c>
      <c r="P27" s="240">
        <f>N27/M27*100</f>
        <v>63.71847830949786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3">
        <v>43454.74</v>
      </c>
      <c r="G28" s="241">
        <f t="shared" si="0"/>
        <v>-6370.43</v>
      </c>
      <c r="H28" s="242">
        <f t="shared" si="1"/>
        <v>87.21443398988905</v>
      </c>
      <c r="I28" s="243">
        <f t="shared" si="2"/>
        <v>33411.74</v>
      </c>
      <c r="J28" s="243">
        <f t="shared" si="3"/>
        <v>432.68684655979285</v>
      </c>
      <c r="K28" s="244">
        <f>F28-36663.53</f>
        <v>6791.209999999999</v>
      </c>
      <c r="L28" s="244">
        <f>F28/36663.53*100</f>
        <v>118.52306638231506</v>
      </c>
      <c r="M28" s="239">
        <f>E28-32053.77</f>
        <v>17771.399999999998</v>
      </c>
      <c r="N28" s="239">
        <f>F28-34030.56</f>
        <v>9424.18</v>
      </c>
      <c r="O28" s="240">
        <f t="shared" si="4"/>
        <v>-8347.219999999998</v>
      </c>
      <c r="P28" s="240">
        <f>N28/M28*100</f>
        <v>53.030037025783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6">
        <v>51.15</v>
      </c>
      <c r="G29" s="190">
        <f t="shared" si="0"/>
        <v>15.439999999999998</v>
      </c>
      <c r="H29" s="197">
        <f t="shared" si="1"/>
        <v>143.2371884626155</v>
      </c>
      <c r="I29" s="198">
        <f t="shared" si="2"/>
        <v>-25.85</v>
      </c>
      <c r="J29" s="198">
        <f t="shared" si="3"/>
        <v>66.42857142857143</v>
      </c>
      <c r="K29" s="198">
        <f>F29-37.42</f>
        <v>13.729999999999997</v>
      </c>
      <c r="L29" s="198">
        <f>F29/37.42*100</f>
        <v>136.6916087653661</v>
      </c>
      <c r="M29" s="197">
        <f>E29-травень!E29</f>
        <v>5.199999999999999</v>
      </c>
      <c r="N29" s="200">
        <f>F29-травень!F29</f>
        <v>0.00999999999999801</v>
      </c>
      <c r="O29" s="201">
        <f t="shared" si="4"/>
        <v>-5.190000000000001</v>
      </c>
      <c r="P29" s="198">
        <f>N29/M29*100</f>
        <v>0.19230769230765407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-115.56</v>
      </c>
      <c r="G30" s="190">
        <f t="shared" si="0"/>
        <v>-115.56</v>
      </c>
      <c r="H30" s="197"/>
      <c r="I30" s="198">
        <f t="shared" si="2"/>
        <v>-115.56</v>
      </c>
      <c r="J30" s="198"/>
      <c r="K30" s="198">
        <f>F30-(-403.36)</f>
        <v>287.8</v>
      </c>
      <c r="L30" s="198">
        <f>F30/(-403.36)*100</f>
        <v>28.649345497818324</v>
      </c>
      <c r="M30" s="197">
        <f>E30-травень!E30</f>
        <v>0</v>
      </c>
      <c r="N30" s="200">
        <f>F30-травень!F30</f>
        <v>-5.840000000000003</v>
      </c>
      <c r="O30" s="201">
        <f t="shared" si="4"/>
        <v>-5.840000000000003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3">
        <v>69511.37</v>
      </c>
      <c r="G31" s="202">
        <f t="shared" si="0"/>
        <v>-530.6699999999983</v>
      </c>
      <c r="H31" s="204">
        <f t="shared" si="1"/>
        <v>99.24235501992803</v>
      </c>
      <c r="I31" s="205">
        <f t="shared" si="2"/>
        <v>-39951.630000000005</v>
      </c>
      <c r="J31" s="205">
        <f t="shared" si="3"/>
        <v>63.502160547399576</v>
      </c>
      <c r="K31" s="219">
        <f>F31-46052.97</f>
        <v>23458.399999999994</v>
      </c>
      <c r="L31" s="219">
        <f>F31/46052.97*100</f>
        <v>150.93786567945563</v>
      </c>
      <c r="M31" s="197">
        <f>E31-травень!E31</f>
        <v>3939.9999999999854</v>
      </c>
      <c r="N31" s="200">
        <f>F31-травень!F31</f>
        <v>744.6699999999983</v>
      </c>
      <c r="O31" s="207">
        <f t="shared" si="4"/>
        <v>-3195.329999999987</v>
      </c>
      <c r="P31" s="205">
        <f>N31/M31*100</f>
        <v>18.900253807106623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71">
        <v>17717.6</v>
      </c>
      <c r="G33" s="109">
        <f t="shared" si="0"/>
        <v>21.62999999999738</v>
      </c>
      <c r="H33" s="111">
        <f t="shared" si="1"/>
        <v>100.1222312198766</v>
      </c>
      <c r="I33" s="110">
        <f t="shared" si="2"/>
        <v>-9882.400000000001</v>
      </c>
      <c r="J33" s="110">
        <f t="shared" si="3"/>
        <v>64.19420289855073</v>
      </c>
      <c r="K33" s="142">
        <f>F33-11423.16</f>
        <v>6294.439999999999</v>
      </c>
      <c r="L33" s="142">
        <f>F33/11423.16*100</f>
        <v>155.10244100581625</v>
      </c>
      <c r="M33" s="111">
        <f>E33-травень!E33</f>
        <v>940</v>
      </c>
      <c r="N33" s="179">
        <f>F33-травень!F33</f>
        <v>165.53999999999724</v>
      </c>
      <c r="O33" s="112">
        <f t="shared" si="4"/>
        <v>-774.4600000000028</v>
      </c>
      <c r="P33" s="110">
        <f>N33/M33*100</f>
        <v>17.610638297872047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71">
        <v>51779.58</v>
      </c>
      <c r="G34" s="109">
        <f t="shared" si="0"/>
        <v>-556.5</v>
      </c>
      <c r="H34" s="111">
        <f t="shared" si="1"/>
        <v>98.93668001118922</v>
      </c>
      <c r="I34" s="110">
        <f t="shared" si="2"/>
        <v>-30032.42</v>
      </c>
      <c r="J34" s="110">
        <f t="shared" si="3"/>
        <v>63.2909353151127</v>
      </c>
      <c r="K34" s="142">
        <f>F34-34622.85</f>
        <v>17156.730000000003</v>
      </c>
      <c r="L34" s="142">
        <f>F34/34622.85*100</f>
        <v>149.55319969326618</v>
      </c>
      <c r="M34" s="111">
        <f>E34-травень!E34</f>
        <v>3000</v>
      </c>
      <c r="N34" s="179">
        <f>F34-травень!F34</f>
        <v>579.1200000000026</v>
      </c>
      <c r="O34" s="112">
        <f t="shared" si="4"/>
        <v>-2420.8799999999974</v>
      </c>
      <c r="P34" s="110">
        <f>N34/M34*100</f>
        <v>19.304000000000087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191">
        <f>F38+F39+F40+F41+F42+F44+F46+F47+F48+F49+F50+F55+F56+F60+F43</f>
        <v>27643.409999999996</v>
      </c>
      <c r="G37" s="191">
        <f>G38+G39+G40+G41+G42+G44+G46+G47+G48+G49+G50+G55+G56+G60</f>
        <v>6138.580000000001</v>
      </c>
      <c r="H37" s="192">
        <f>F37/E37*100</f>
        <v>128.58578204607588</v>
      </c>
      <c r="I37" s="193">
        <f>F37-D37</f>
        <v>-15176.590000000004</v>
      </c>
      <c r="J37" s="193">
        <f>F37/D37*100</f>
        <v>64.55723960765997</v>
      </c>
      <c r="K37" s="191">
        <f>F37-15873</f>
        <v>11770.409999999996</v>
      </c>
      <c r="L37" s="191">
        <f>F37/15873*100</f>
        <v>174.15365715365715</v>
      </c>
      <c r="M37" s="191">
        <f>M38+M39+M40+M41+M42+M44+M46+M47+M48+M49+M50+M55+M56+M60</f>
        <v>3691.0000000000005</v>
      </c>
      <c r="N37" s="191">
        <f>N38+N39+N40+N41+N42+N44+N46+N47+N48+N49+N50+N55+N56+N60+N43</f>
        <v>4802.99</v>
      </c>
      <c r="O37" s="191">
        <f>O38+O39+O40+O41+O42+O44+O46+O47+O48+O49+O50+O55+O56+O60</f>
        <v>1111.9900000000002</v>
      </c>
      <c r="P37" s="191">
        <f>N37/M37*100</f>
        <v>130.12706583581684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6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6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6">
        <v>27.79</v>
      </c>
      <c r="G40" s="202">
        <f t="shared" si="9"/>
        <v>-83.65</v>
      </c>
      <c r="H40" s="204">
        <f t="shared" si="7"/>
        <v>24.937185929648244</v>
      </c>
      <c r="I40" s="205">
        <f t="shared" si="10"/>
        <v>-372.21</v>
      </c>
      <c r="J40" s="205">
        <f aca="true" t="shared" si="12" ref="J40:J61">F40/D40*100</f>
        <v>6.9475</v>
      </c>
      <c r="K40" s="205">
        <f>F40-188.18</f>
        <v>-160.39000000000001</v>
      </c>
      <c r="L40" s="205">
        <f>F40/188.18*100</f>
        <v>14.76777553406313</v>
      </c>
      <c r="M40" s="204">
        <f>E40-травень!E40</f>
        <v>20</v>
      </c>
      <c r="N40" s="208">
        <f>F40-травень!F40</f>
        <v>0.2799999999999976</v>
      </c>
      <c r="O40" s="207">
        <f t="shared" si="11"/>
        <v>-19.720000000000002</v>
      </c>
      <c r="P40" s="205">
        <f t="shared" si="8"/>
        <v>1.399999999999988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6">
        <v>53.73</v>
      </c>
      <c r="G42" s="202">
        <f t="shared" si="9"/>
        <v>-6.270000000000003</v>
      </c>
      <c r="H42" s="204">
        <f t="shared" si="7"/>
        <v>89.55</v>
      </c>
      <c r="I42" s="205">
        <f t="shared" si="10"/>
        <v>-96.27000000000001</v>
      </c>
      <c r="J42" s="205">
        <f t="shared" si="12"/>
        <v>35.81999999999999</v>
      </c>
      <c r="K42" s="205">
        <f>F42-81.62</f>
        <v>-27.890000000000008</v>
      </c>
      <c r="L42" s="205">
        <f>F42/81.62*100</f>
        <v>65.82945356530261</v>
      </c>
      <c r="M42" s="204">
        <f>E42-травень!E42</f>
        <v>10</v>
      </c>
      <c r="N42" s="208">
        <f>F42-травень!F42</f>
        <v>3.3299999999999983</v>
      </c>
      <c r="O42" s="207">
        <f t="shared" si="11"/>
        <v>-6.670000000000002</v>
      </c>
      <c r="P42" s="205">
        <f t="shared" si="8"/>
        <v>33.29999999999998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6.8</v>
      </c>
      <c r="G43" s="202">
        <f t="shared" si="9"/>
        <v>6.8</v>
      </c>
      <c r="H43" s="204"/>
      <c r="I43" s="205">
        <f t="shared" si="10"/>
        <v>6.8</v>
      </c>
      <c r="J43" s="205"/>
      <c r="K43" s="205">
        <f>F43-2.5</f>
        <v>4.3</v>
      </c>
      <c r="L43" s="205">
        <f>F43/2.5*100</f>
        <v>272</v>
      </c>
      <c r="M43" s="204">
        <f>E43-травень!E43</f>
        <v>0</v>
      </c>
      <c r="N43" s="208">
        <f>F43-травень!F43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40</v>
      </c>
      <c r="F44" s="196">
        <v>97.39</v>
      </c>
      <c r="G44" s="202">
        <f t="shared" si="9"/>
        <v>57.39</v>
      </c>
      <c r="H44" s="204">
        <f t="shared" si="7"/>
        <v>243.47500000000002</v>
      </c>
      <c r="I44" s="205">
        <f t="shared" si="10"/>
        <v>7.390000000000001</v>
      </c>
      <c r="J44" s="205">
        <f t="shared" si="12"/>
        <v>108.21111111111111</v>
      </c>
      <c r="K44" s="205">
        <f>F44-0</f>
        <v>97.39</v>
      </c>
      <c r="L44" s="205"/>
      <c r="M44" s="204">
        <f>E44-травень!E44</f>
        <v>8</v>
      </c>
      <c r="N44" s="208">
        <f>F44-травень!F44</f>
        <v>21.060000000000002</v>
      </c>
      <c r="O44" s="207">
        <f t="shared" si="11"/>
        <v>13.060000000000002</v>
      </c>
      <c r="P44" s="205">
        <f t="shared" si="8"/>
        <v>263.25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6">
        <v>4226.22</v>
      </c>
      <c r="G46" s="202">
        <f t="shared" si="9"/>
        <v>-312.8000000000002</v>
      </c>
      <c r="H46" s="204">
        <f t="shared" si="7"/>
        <v>93.10864459729193</v>
      </c>
      <c r="I46" s="205">
        <f t="shared" si="10"/>
        <v>-5673.78</v>
      </c>
      <c r="J46" s="205">
        <f t="shared" si="12"/>
        <v>42.68909090909091</v>
      </c>
      <c r="K46" s="205">
        <f>F46-4927.6</f>
        <v>-701.3800000000001</v>
      </c>
      <c r="L46" s="205">
        <f>F46/4927.6*100</f>
        <v>85.76629596558162</v>
      </c>
      <c r="M46" s="204">
        <f>E46-травень!E46</f>
        <v>800.0000000000005</v>
      </c>
      <c r="N46" s="208">
        <f>F46-травень!F46</f>
        <v>168.8100000000004</v>
      </c>
      <c r="O46" s="207">
        <f t="shared" si="11"/>
        <v>-631.19</v>
      </c>
      <c r="P46" s="205">
        <f t="shared" si="8"/>
        <v>21.10125000000004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650</v>
      </c>
      <c r="F47" s="196">
        <v>41.81</v>
      </c>
      <c r="G47" s="202">
        <f t="shared" si="9"/>
        <v>-608.19</v>
      </c>
      <c r="H47" s="204">
        <f t="shared" si="7"/>
        <v>6.432307692307693</v>
      </c>
      <c r="I47" s="205">
        <f t="shared" si="10"/>
        <v>-1458.19</v>
      </c>
      <c r="J47" s="205">
        <f t="shared" si="12"/>
        <v>2.787333333333333</v>
      </c>
      <c r="K47" s="205">
        <f>F47-0</f>
        <v>41.81</v>
      </c>
      <c r="L47" s="205"/>
      <c r="M47" s="204">
        <f>E47-травень!E47</f>
        <v>130</v>
      </c>
      <c r="N47" s="208">
        <f>F47-травень!F47</f>
        <v>7.880000000000003</v>
      </c>
      <c r="O47" s="207">
        <f t="shared" si="11"/>
        <v>-122.12</v>
      </c>
      <c r="P47" s="205">
        <f t="shared" si="8"/>
        <v>6.061538461538463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20</v>
      </c>
      <c r="F48" s="196">
        <v>7.72</v>
      </c>
      <c r="G48" s="202">
        <f t="shared" si="9"/>
        <v>-12.280000000000001</v>
      </c>
      <c r="H48" s="204">
        <f t="shared" si="7"/>
        <v>38.6</v>
      </c>
      <c r="I48" s="205">
        <f t="shared" si="10"/>
        <v>-42.28</v>
      </c>
      <c r="J48" s="205">
        <f t="shared" si="12"/>
        <v>15.439999999999998</v>
      </c>
      <c r="K48" s="205">
        <f>F48-0</f>
        <v>7.72</v>
      </c>
      <c r="L48" s="205"/>
      <c r="M48" s="204">
        <f>E48-травень!E48</f>
        <v>4</v>
      </c>
      <c r="N48" s="208">
        <f>F48-травень!F48</f>
        <v>0</v>
      </c>
      <c r="O48" s="207">
        <f t="shared" si="11"/>
        <v>-4</v>
      </c>
      <c r="P48" s="205">
        <f t="shared" si="8"/>
        <v>0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6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6">
        <v>2691.23</v>
      </c>
      <c r="G50" s="202">
        <f t="shared" si="9"/>
        <v>-527.96</v>
      </c>
      <c r="H50" s="204">
        <f t="shared" si="7"/>
        <v>83.59960114190216</v>
      </c>
      <c r="I50" s="205">
        <f t="shared" si="10"/>
        <v>-4608.77</v>
      </c>
      <c r="J50" s="205">
        <f t="shared" si="12"/>
        <v>36.866164383561646</v>
      </c>
      <c r="K50" s="205">
        <f>F50-4033.24</f>
        <v>-1342.0099999999998</v>
      </c>
      <c r="L50" s="205">
        <f>F50/4033.24*100</f>
        <v>66.72625482242564</v>
      </c>
      <c r="M50" s="204">
        <f>E50-травень!E50</f>
        <v>666</v>
      </c>
      <c r="N50" s="208">
        <f>F50-травень!F50</f>
        <v>117.76999999999998</v>
      </c>
      <c r="O50" s="207">
        <f t="shared" si="11"/>
        <v>-548.23</v>
      </c>
      <c r="P50" s="205">
        <f t="shared" si="8"/>
        <v>17.68318318318318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71">
        <v>382.84</v>
      </c>
      <c r="G51" s="36">
        <f t="shared" si="9"/>
        <v>-169.15000000000003</v>
      </c>
      <c r="H51" s="32">
        <f t="shared" si="7"/>
        <v>69.35632891900215</v>
      </c>
      <c r="I51" s="110">
        <f t="shared" si="10"/>
        <v>-717.1600000000001</v>
      </c>
      <c r="J51" s="110">
        <f t="shared" si="12"/>
        <v>34.80363636363636</v>
      </c>
      <c r="K51" s="110">
        <f>F51-582.74</f>
        <v>-199.90000000000003</v>
      </c>
      <c r="L51" s="110">
        <f>F51/582.74*100</f>
        <v>65.6965370491128</v>
      </c>
      <c r="M51" s="111">
        <f>E51-травень!E51</f>
        <v>185</v>
      </c>
      <c r="N51" s="179">
        <f>F51-травень!F51</f>
        <v>15.289999999999964</v>
      </c>
      <c r="O51" s="112">
        <f t="shared" si="11"/>
        <v>-169.71000000000004</v>
      </c>
      <c r="P51" s="132">
        <f t="shared" si="8"/>
        <v>8.264864864864844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71">
        <v>0.23</v>
      </c>
      <c r="G52" s="36">
        <f t="shared" si="9"/>
        <v>-4.81</v>
      </c>
      <c r="H52" s="32">
        <f t="shared" si="7"/>
        <v>4.563492063492064</v>
      </c>
      <c r="I52" s="110">
        <f t="shared" si="10"/>
        <v>-44.77</v>
      </c>
      <c r="J52" s="110">
        <f t="shared" si="12"/>
        <v>0.5111111111111112</v>
      </c>
      <c r="K52" s="110">
        <f>F52-45.15</f>
        <v>-44.92</v>
      </c>
      <c r="L52" s="110">
        <f>F52/45.15*100</f>
        <v>0.5094130675526024</v>
      </c>
      <c r="M52" s="111">
        <f>E52-травень!E52</f>
        <v>1</v>
      </c>
      <c r="N52" s="179">
        <f>F52-травень!F52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71">
        <v>2308.15</v>
      </c>
      <c r="G54" s="36">
        <f t="shared" si="9"/>
        <v>-354.02</v>
      </c>
      <c r="H54" s="32">
        <f t="shared" si="7"/>
        <v>86.70182595401495</v>
      </c>
      <c r="I54" s="110">
        <f t="shared" si="10"/>
        <v>-3845.85</v>
      </c>
      <c r="J54" s="110">
        <f t="shared" si="12"/>
        <v>37.506499837504066</v>
      </c>
      <c r="K54" s="110">
        <f>F54-3404.6</f>
        <v>-1096.4499999999998</v>
      </c>
      <c r="L54" s="110">
        <f>F54/3404.6*100</f>
        <v>67.7950420019973</v>
      </c>
      <c r="M54" s="111">
        <f>E54-травень!E54</f>
        <v>480</v>
      </c>
      <c r="N54" s="179">
        <f>F54-травень!F54</f>
        <v>102.48000000000002</v>
      </c>
      <c r="O54" s="112">
        <f t="shared" si="11"/>
        <v>-377.52</v>
      </c>
      <c r="P54" s="132">
        <f t="shared" si="8"/>
        <v>21.350000000000005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6">
        <v>2383.08</v>
      </c>
      <c r="G56" s="202">
        <f t="shared" si="9"/>
        <v>115.09999999999991</v>
      </c>
      <c r="H56" s="204">
        <f t="shared" si="7"/>
        <v>105.0750006613815</v>
      </c>
      <c r="I56" s="205">
        <f t="shared" si="10"/>
        <v>-2416.92</v>
      </c>
      <c r="J56" s="205">
        <f t="shared" si="12"/>
        <v>49.6475</v>
      </c>
      <c r="K56" s="205">
        <f>F56-2236.15</f>
        <v>146.92999999999984</v>
      </c>
      <c r="L56" s="205">
        <f>F56/2236.15*100</f>
        <v>106.57066833620283</v>
      </c>
      <c r="M56" s="204">
        <f>E56-травень!E56</f>
        <v>400</v>
      </c>
      <c r="N56" s="208">
        <f>F56-травень!F56</f>
        <v>62.9699999999998</v>
      </c>
      <c r="O56" s="207">
        <f t="shared" si="11"/>
        <v>-337.0300000000002</v>
      </c>
      <c r="P56" s="205">
        <f t="shared" si="8"/>
        <v>15.742499999999952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521.6</v>
      </c>
      <c r="G58" s="202"/>
      <c r="H58" s="204"/>
      <c r="I58" s="205"/>
      <c r="J58" s="205"/>
      <c r="K58" s="206">
        <f>F58-577.4</f>
        <v>-55.799999999999955</v>
      </c>
      <c r="L58" s="206">
        <f>F58/577.4*100</f>
        <v>90.33598891582959</v>
      </c>
      <c r="M58" s="236"/>
      <c r="N58" s="220">
        <f>F58-травень!F58</f>
        <v>43.23000000000002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6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191">
        <f>F8+F37+F61+F62</f>
        <v>410615.20999999996</v>
      </c>
      <c r="G63" s="191">
        <f>F63-E63</f>
        <v>-31130.79999999999</v>
      </c>
      <c r="H63" s="192">
        <f>F63/E63*100</f>
        <v>92.95278298042805</v>
      </c>
      <c r="I63" s="193">
        <f>F63-D63</f>
        <v>-473285.39</v>
      </c>
      <c r="J63" s="193">
        <f>F63/D63*100</f>
        <v>46.45490793874333</v>
      </c>
      <c r="K63" s="193">
        <f>F63-320998.67</f>
        <v>89616.53999999998</v>
      </c>
      <c r="L63" s="193">
        <f>F63/320998.67*100</f>
        <v>127.91804090652464</v>
      </c>
      <c r="M63" s="191">
        <f>M8+M37+M61+M62</f>
        <v>71492.59999999999</v>
      </c>
      <c r="N63" s="191">
        <f>N8+N37+N61+N62</f>
        <v>12765.919999999986</v>
      </c>
      <c r="O63" s="195">
        <f>N63-M63</f>
        <v>-58726.68000000001</v>
      </c>
      <c r="P63" s="193">
        <f>N63/M63*100</f>
        <v>17.856281629147613</v>
      </c>
      <c r="Q63" s="28">
        <f>N63-34768</f>
        <v>-22002.080000000016</v>
      </c>
      <c r="R63" s="128">
        <f>N63/34768</f>
        <v>0.3671744132535661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F69-(-31.04)</f>
        <v>30.77</v>
      </c>
      <c r="L69" s="207">
        <f>F69/(-31.04)*100</f>
        <v>0.8698453608247423</v>
      </c>
      <c r="M69" s="204"/>
      <c r="N69" s="223">
        <f>F69-травень!F69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F70-(-31.04)</f>
        <v>30.779999999999998</v>
      </c>
      <c r="L70" s="228">
        <f>F70/(-31.04)*100</f>
        <v>0.8376288659793815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2">
        <v>1041.98</v>
      </c>
      <c r="G72" s="202">
        <f aca="true" t="shared" si="13" ref="G72:G82">F72-E72</f>
        <v>-371.02</v>
      </c>
      <c r="H72" s="204"/>
      <c r="I72" s="207">
        <f aca="true" t="shared" si="14" ref="I72:I82">F72-D72</f>
        <v>-3158.02</v>
      </c>
      <c r="J72" s="207">
        <f>F72/D72*100</f>
        <v>24.809047619047618</v>
      </c>
      <c r="K72" s="207">
        <f>F72-194</f>
        <v>847.98</v>
      </c>
      <c r="L72" s="207">
        <f>F72/194*100</f>
        <v>537.1030927835052</v>
      </c>
      <c r="M72" s="204">
        <f>E72-травень!E72</f>
        <v>500</v>
      </c>
      <c r="N72" s="208">
        <f>F72-травень!F72</f>
        <v>0.009999999999990905</v>
      </c>
      <c r="O72" s="207">
        <f aca="true" t="shared" si="15" ref="O72:O85">N72-M72</f>
        <v>-499.99</v>
      </c>
      <c r="P72" s="207">
        <f>N72/M72*100</f>
        <v>0.001999999999998181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2">
        <v>884.66</v>
      </c>
      <c r="G73" s="202">
        <f t="shared" si="13"/>
        <v>-1349.0500000000002</v>
      </c>
      <c r="H73" s="204">
        <f>F73/E73*100</f>
        <v>39.604962148175005</v>
      </c>
      <c r="I73" s="207">
        <f t="shared" si="14"/>
        <v>-6574.34</v>
      </c>
      <c r="J73" s="207">
        <f>F73/D73*100</f>
        <v>11.860302989676901</v>
      </c>
      <c r="K73" s="207">
        <f>F73-3257.07</f>
        <v>-2372.4100000000003</v>
      </c>
      <c r="L73" s="207">
        <f>F73/3257.07*100</f>
        <v>27.16122158872852</v>
      </c>
      <c r="M73" s="204">
        <f>E73-травень!E73</f>
        <v>282.60000000000014</v>
      </c>
      <c r="N73" s="208">
        <f>F73-травень!F73</f>
        <v>15.42999999999995</v>
      </c>
      <c r="O73" s="207">
        <f t="shared" si="15"/>
        <v>-267.1700000000002</v>
      </c>
      <c r="P73" s="207">
        <f>N73/M73*100</f>
        <v>5.46001415428165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2">
        <v>9113.39</v>
      </c>
      <c r="G74" s="202">
        <f t="shared" si="13"/>
        <v>7320.539999999999</v>
      </c>
      <c r="H74" s="204">
        <f>F74/E74*100</f>
        <v>508.31859887888</v>
      </c>
      <c r="I74" s="207">
        <f t="shared" si="14"/>
        <v>3113.3899999999994</v>
      </c>
      <c r="J74" s="207">
        <f>F74/D74*100</f>
        <v>151.8898333333333</v>
      </c>
      <c r="K74" s="207">
        <f>F74-1818.42</f>
        <v>7294.969999999999</v>
      </c>
      <c r="L74" s="207">
        <f>F74/1818.42*100</f>
        <v>501.170796625642</v>
      </c>
      <c r="M74" s="204">
        <f>E74-травень!E74</f>
        <v>302</v>
      </c>
      <c r="N74" s="208">
        <f>F74-травень!F74</f>
        <v>0</v>
      </c>
      <c r="O74" s="207">
        <f t="shared" si="15"/>
        <v>-302</v>
      </c>
      <c r="P74" s="207">
        <f>N74/M74*100</f>
        <v>0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2">
        <v>5</v>
      </c>
      <c r="G75" s="202">
        <f t="shared" si="13"/>
        <v>-1</v>
      </c>
      <c r="H75" s="204">
        <f>F75/E75*100</f>
        <v>83.33333333333334</v>
      </c>
      <c r="I75" s="207">
        <f t="shared" si="14"/>
        <v>-7</v>
      </c>
      <c r="J75" s="207">
        <f>F75/D75*100</f>
        <v>41.66666666666667</v>
      </c>
      <c r="K75" s="207">
        <f>F75-0</f>
        <v>5</v>
      </c>
      <c r="L75" s="207"/>
      <c r="M75" s="204">
        <f>E75-травень!E75</f>
        <v>1</v>
      </c>
      <c r="N75" s="208">
        <f>F75-травень!F75</f>
        <v>0</v>
      </c>
      <c r="O75" s="207">
        <f t="shared" si="15"/>
        <v>-1</v>
      </c>
      <c r="P75" s="207">
        <f>N75/M75*100</f>
        <v>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5">
        <f>F72+F73+F74+F75</f>
        <v>11045.029999999999</v>
      </c>
      <c r="G76" s="226">
        <f t="shared" si="13"/>
        <v>5599.469999999999</v>
      </c>
      <c r="H76" s="227">
        <f>F76/E76*100</f>
        <v>202.82633925620138</v>
      </c>
      <c r="I76" s="228">
        <f t="shared" si="14"/>
        <v>-6625.970000000001</v>
      </c>
      <c r="J76" s="228">
        <f>F76/D76*100</f>
        <v>62.50370663799445</v>
      </c>
      <c r="K76" s="228">
        <f>F76-5269.49</f>
        <v>5775.539999999999</v>
      </c>
      <c r="L76" s="228">
        <f>F76/5269.49*100</f>
        <v>209.603396154087</v>
      </c>
      <c r="M76" s="226">
        <f>M72+M73+M74+M75</f>
        <v>1085.6000000000001</v>
      </c>
      <c r="N76" s="230">
        <f>N72+N73+N74+N75</f>
        <v>15.43999999999994</v>
      </c>
      <c r="O76" s="228">
        <f t="shared" si="15"/>
        <v>-1070.1600000000003</v>
      </c>
      <c r="P76" s="228">
        <f>N76/M76*100</f>
        <v>1.4222549742078059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3"/>
        <v>4.4</v>
      </c>
      <c r="H77" s="204"/>
      <c r="I77" s="207">
        <f t="shared" si="14"/>
        <v>3.4000000000000004</v>
      </c>
      <c r="J77" s="207"/>
      <c r="K77" s="207">
        <f>F77-0</f>
        <v>4.4</v>
      </c>
      <c r="L77" s="207"/>
      <c r="M77" s="204">
        <f>E77-травень!E77</f>
        <v>0</v>
      </c>
      <c r="N77" s="208">
        <f>F77-травень!F77</f>
        <v>0</v>
      </c>
      <c r="O77" s="207">
        <f t="shared" si="15"/>
        <v>0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2">
        <v>4888.53</v>
      </c>
      <c r="G79" s="202">
        <f t="shared" si="13"/>
        <v>-228.77000000000044</v>
      </c>
      <c r="H79" s="204">
        <f>F79/E79*100</f>
        <v>95.52947843589392</v>
      </c>
      <c r="I79" s="207">
        <f t="shared" si="14"/>
        <v>-4611.47</v>
      </c>
      <c r="J79" s="207">
        <f>F79/D79*100</f>
        <v>51.45821052631578</v>
      </c>
      <c r="K79" s="207">
        <f>F79-0</f>
        <v>4888.53</v>
      </c>
      <c r="L79" s="207"/>
      <c r="M79" s="204">
        <f>E79-травень!E79</f>
        <v>0.3000000000001819</v>
      </c>
      <c r="N79" s="208">
        <f>F79-травень!F79</f>
        <v>0.7599999999993088</v>
      </c>
      <c r="O79" s="207">
        <f>N79-M79</f>
        <v>0.4599999999991269</v>
      </c>
      <c r="P79" s="231">
        <f>N79/M79*100</f>
        <v>253.3333333329493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3"/>
        <v>0.69</v>
      </c>
      <c r="H80" s="204"/>
      <c r="I80" s="207">
        <f t="shared" si="14"/>
        <v>0.69</v>
      </c>
      <c r="J80" s="207"/>
      <c r="K80" s="207">
        <f>F80-1.06</f>
        <v>-0.3700000000000001</v>
      </c>
      <c r="L80" s="207">
        <f>F80/1.06*100</f>
        <v>65.09433962264151</v>
      </c>
      <c r="M80" s="204">
        <f>E80-травень!E80</f>
        <v>0</v>
      </c>
      <c r="N80" s="208">
        <f>F80-травень!F80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5">
        <f>F77+F80+F78+F79</f>
        <v>4893.62</v>
      </c>
      <c r="G81" s="224">
        <f>G77+G80+G78+G79</f>
        <v>-223.68000000000043</v>
      </c>
      <c r="H81" s="227">
        <f>F81/E81*100</f>
        <v>95.62894495143924</v>
      </c>
      <c r="I81" s="228">
        <f t="shared" si="14"/>
        <v>-4607.38</v>
      </c>
      <c r="J81" s="228">
        <f>F81/D81*100</f>
        <v>51.50636775076307</v>
      </c>
      <c r="K81" s="228">
        <f>F81-1.06</f>
        <v>4892.5599999999995</v>
      </c>
      <c r="L81" s="228">
        <f>F81/1.06*100</f>
        <v>461662.2641509433</v>
      </c>
      <c r="M81" s="226">
        <f>M77+M80+M78+M79</f>
        <v>0.3000000000001819</v>
      </c>
      <c r="N81" s="230">
        <f>N77+N80+N78+N79</f>
        <v>0.7599999999993088</v>
      </c>
      <c r="O81" s="226">
        <f>O77+O80+O78+O79</f>
        <v>0.4599999999991269</v>
      </c>
      <c r="P81" s="228">
        <f>N81/M81*100</f>
        <v>253.3333333329493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2">
        <v>9.5</v>
      </c>
      <c r="G82" s="202">
        <f t="shared" si="13"/>
        <v>-10.2</v>
      </c>
      <c r="H82" s="204">
        <f>F82/E82*100</f>
        <v>48.223350253807105</v>
      </c>
      <c r="I82" s="207">
        <f t="shared" si="14"/>
        <v>-33.5</v>
      </c>
      <c r="J82" s="207">
        <f>F82/D82*100</f>
        <v>22.093023255813954</v>
      </c>
      <c r="K82" s="207">
        <f>F82-19.94</f>
        <v>-10.440000000000001</v>
      </c>
      <c r="L82" s="207">
        <f>F82/19.94*100</f>
        <v>47.64292878635907</v>
      </c>
      <c r="M82" s="204">
        <f>E82-травень!E82</f>
        <v>5.899999999999999</v>
      </c>
      <c r="N82" s="208">
        <f>F82-травень!F82</f>
        <v>0.3100000000000005</v>
      </c>
      <c r="O82" s="207">
        <f t="shared" si="15"/>
        <v>-5.589999999999998</v>
      </c>
      <c r="P82" s="207">
        <f>N82/M82</f>
        <v>0.05254237288135603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32">
        <f>F70+F82+F76+F81+F83</f>
        <v>15947.89</v>
      </c>
      <c r="G84" s="233">
        <f>F84-E84</f>
        <v>5365.33</v>
      </c>
      <c r="H84" s="234">
        <f>F84/E84*100</f>
        <v>150.69973616969807</v>
      </c>
      <c r="I84" s="235">
        <f>F84-D84</f>
        <v>-11267.11</v>
      </c>
      <c r="J84" s="235">
        <f>F84/D84*100</f>
        <v>58.599632555575965</v>
      </c>
      <c r="K84" s="235">
        <f>F84-5259.67</f>
        <v>10688.22</v>
      </c>
      <c r="L84" s="235">
        <f>F84/5259.67*100</f>
        <v>303.2108478288562</v>
      </c>
      <c r="M84" s="232">
        <f>M70+M82+M76+M81</f>
        <v>1091.8000000000004</v>
      </c>
      <c r="N84" s="232">
        <f>N70+N82+N76+N81+N83</f>
        <v>16.509999999999252</v>
      </c>
      <c r="O84" s="235">
        <f t="shared" si="15"/>
        <v>-1075.290000000001</v>
      </c>
      <c r="P84" s="235">
        <f>N84/M84*100</f>
        <v>1.512181718263349</v>
      </c>
      <c r="Q84" s="28">
        <f>N84-8104.96</f>
        <v>-8088.450000000001</v>
      </c>
      <c r="R84" s="101">
        <f>N84/8104.96</f>
        <v>0.0020370242419455805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32">
        <f>F63+F84</f>
        <v>426563.1</v>
      </c>
      <c r="G85" s="233">
        <f>F85-E85</f>
        <v>-25765.469999999972</v>
      </c>
      <c r="H85" s="234">
        <f>F85/E85*100</f>
        <v>94.30381547643563</v>
      </c>
      <c r="I85" s="235">
        <f>F85-D85</f>
        <v>-484552.5</v>
      </c>
      <c r="J85" s="235">
        <f>F85/D85*100</f>
        <v>46.81767055684262</v>
      </c>
      <c r="K85" s="235">
        <f>F85-320998.67-5259.67</f>
        <v>100304.76</v>
      </c>
      <c r="L85" s="235">
        <f>F85/(265734.15+4325.48)*100</f>
        <v>157.95144946321668</v>
      </c>
      <c r="M85" s="233">
        <f>M63+M84</f>
        <v>72584.4</v>
      </c>
      <c r="N85" s="233">
        <f>N63+N84</f>
        <v>12782.429999999984</v>
      </c>
      <c r="O85" s="235">
        <f t="shared" si="15"/>
        <v>-59801.97000000001</v>
      </c>
      <c r="P85" s="235">
        <f>N85/M85*100</f>
        <v>17.610436953394924</v>
      </c>
      <c r="Q85" s="28">
        <f>N85-42872.96</f>
        <v>-30090.530000000013</v>
      </c>
      <c r="R85" s="101">
        <f>N85/42872.96</f>
        <v>0.2981466640045377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15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3915.1120000000005</v>
      </c>
      <c r="D88" s="4" t="s">
        <v>24</v>
      </c>
      <c r="G88" s="261"/>
      <c r="H88" s="261"/>
      <c r="I88" s="261"/>
      <c r="J88" s="261"/>
      <c r="K88" s="90"/>
      <c r="L88" s="90"/>
      <c r="P88" s="26"/>
      <c r="Q88" s="26"/>
    </row>
    <row r="89" spans="2:15" ht="34.5" customHeight="1">
      <c r="B89" s="58" t="s">
        <v>56</v>
      </c>
      <c r="C89" s="87">
        <v>42527</v>
      </c>
      <c r="D89" s="31">
        <v>3619</v>
      </c>
      <c r="G89" s="4" t="s">
        <v>59</v>
      </c>
      <c r="N89" s="254"/>
      <c r="O89" s="254"/>
    </row>
    <row r="90" spans="3:15" ht="15">
      <c r="C90" s="87">
        <v>42524</v>
      </c>
      <c r="D90" s="31">
        <v>2755.2</v>
      </c>
      <c r="F90" s="124" t="s">
        <v>59</v>
      </c>
      <c r="G90" s="248"/>
      <c r="H90" s="248"/>
      <c r="I90" s="131"/>
      <c r="J90" s="251"/>
      <c r="K90" s="251"/>
      <c r="L90" s="251"/>
      <c r="M90" s="251"/>
      <c r="N90" s="254"/>
      <c r="O90" s="254"/>
    </row>
    <row r="91" spans="3:15" ht="15.75" customHeight="1">
      <c r="C91" s="87">
        <v>42523</v>
      </c>
      <c r="D91" s="31">
        <v>1464.9</v>
      </c>
      <c r="F91" s="73"/>
      <c r="G91" s="248"/>
      <c r="H91" s="248"/>
      <c r="I91" s="131"/>
      <c r="J91" s="255"/>
      <c r="K91" s="255"/>
      <c r="L91" s="255"/>
      <c r="M91" s="255"/>
      <c r="N91" s="254"/>
      <c r="O91" s="254"/>
    </row>
    <row r="92" spans="3:13" ht="15.75" customHeight="1">
      <c r="C92" s="87"/>
      <c r="F92" s="73"/>
      <c r="G92" s="250"/>
      <c r="H92" s="250"/>
      <c r="I92" s="139"/>
      <c r="J92" s="251"/>
      <c r="K92" s="251"/>
      <c r="L92" s="251"/>
      <c r="M92" s="251"/>
    </row>
    <row r="93" spans="2:13" ht="18.75" customHeight="1">
      <c r="B93" s="252" t="s">
        <v>57</v>
      </c>
      <c r="C93" s="253"/>
      <c r="D93" s="148">
        <v>15.43225</v>
      </c>
      <c r="E93" s="74"/>
      <c r="F93" s="140" t="s">
        <v>137</v>
      </c>
      <c r="G93" s="248"/>
      <c r="H93" s="248"/>
      <c r="I93" s="141"/>
      <c r="J93" s="251"/>
      <c r="K93" s="251"/>
      <c r="L93" s="251"/>
      <c r="M93" s="251"/>
    </row>
    <row r="94" spans="6:12" ht="9.75" customHeight="1">
      <c r="F94" s="73"/>
      <c r="G94" s="248"/>
      <c r="H94" s="248"/>
      <c r="I94" s="73"/>
      <c r="J94" s="74"/>
      <c r="K94" s="74"/>
      <c r="L94" s="74"/>
    </row>
    <row r="95" spans="2:12" ht="22.5" customHeight="1" hidden="1">
      <c r="B95" s="246" t="s">
        <v>60</v>
      </c>
      <c r="C95" s="247"/>
      <c r="D95" s="86">
        <v>0</v>
      </c>
      <c r="E95" s="56" t="s">
        <v>24</v>
      </c>
      <c r="F95" s="73"/>
      <c r="G95" s="248"/>
      <c r="H95" s="248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710</v>
      </c>
      <c r="F96" s="73">
        <f>F44+F47+F48</f>
        <v>146.92</v>
      </c>
      <c r="G96" s="74"/>
      <c r="H96" s="74"/>
      <c r="I96" s="74"/>
      <c r="N96" s="248"/>
      <c r="O96" s="248"/>
    </row>
    <row r="97" spans="4:15" ht="15">
      <c r="D97" s="83"/>
      <c r="I97" s="31"/>
      <c r="N97" s="249"/>
      <c r="O97" s="249"/>
    </row>
    <row r="98" spans="14:15" ht="15">
      <c r="N98" s="248"/>
      <c r="O98" s="248"/>
    </row>
    <row r="102" ht="15">
      <c r="E102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4:H94"/>
    <mergeCell ref="G90:H90"/>
    <mergeCell ref="J90:M90"/>
    <mergeCell ref="N90:O90"/>
    <mergeCell ref="G91:H91"/>
    <mergeCell ref="J91:M91"/>
    <mergeCell ref="N91:O91"/>
    <mergeCell ref="B95:C95"/>
    <mergeCell ref="G95:H95"/>
    <mergeCell ref="N96:O96"/>
    <mergeCell ref="N97:O97"/>
    <mergeCell ref="N98:O98"/>
    <mergeCell ref="G92:H92"/>
    <mergeCell ref="J92:M92"/>
    <mergeCell ref="B93:C93"/>
    <mergeCell ref="G93:H93"/>
    <mergeCell ref="J93:M93"/>
  </mergeCells>
  <printOptions/>
  <pageMargins left="0" right="0" top="0.11811023622047245" bottom="0.11811023622047245" header="0.1968503937007874" footer="0.11811023622047245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0" sqref="F6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8" t="s">
        <v>168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/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78" t="s">
        <v>162</v>
      </c>
      <c r="N3" s="279" t="s">
        <v>163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158</v>
      </c>
      <c r="F4" s="282" t="s">
        <v>34</v>
      </c>
      <c r="G4" s="256" t="s">
        <v>159</v>
      </c>
      <c r="H4" s="264" t="s">
        <v>160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66" t="s">
        <v>169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78.75" customHeight="1">
      <c r="A5" s="271"/>
      <c r="B5" s="272"/>
      <c r="C5" s="273"/>
      <c r="D5" s="274"/>
      <c r="E5" s="281"/>
      <c r="F5" s="283"/>
      <c r="G5" s="257"/>
      <c r="H5" s="265"/>
      <c r="I5" s="257"/>
      <c r="J5" s="265"/>
      <c r="K5" s="259" t="s">
        <v>161</v>
      </c>
      <c r="L5" s="260"/>
      <c r="M5" s="265"/>
      <c r="N5" s="26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v>478.37</v>
      </c>
      <c r="G58" s="202"/>
      <c r="H58" s="204"/>
      <c r="I58" s="205"/>
      <c r="J58" s="205"/>
      <c r="K58" s="206">
        <f>F58-430.9</f>
        <v>47.47000000000003</v>
      </c>
      <c r="L58" s="206">
        <f>F58/430.9*100</f>
        <v>111.01647714086795</v>
      </c>
      <c r="M58" s="236"/>
      <c r="N58" s="220">
        <f>F58-квітень!F54</f>
        <v>91.00999999999999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1"/>
      <c r="H88" s="261"/>
      <c r="I88" s="261"/>
      <c r="J88" s="261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54"/>
      <c r="O89" s="254"/>
    </row>
    <row r="90" spans="3:15" ht="15">
      <c r="C90" s="87">
        <v>42520</v>
      </c>
      <c r="D90" s="31">
        <v>8891</v>
      </c>
      <c r="F90" s="124" t="s">
        <v>59</v>
      </c>
      <c r="G90" s="248"/>
      <c r="H90" s="248"/>
      <c r="I90" s="131"/>
      <c r="J90" s="251"/>
      <c r="K90" s="251"/>
      <c r="L90" s="251"/>
      <c r="M90" s="251"/>
      <c r="N90" s="254"/>
      <c r="O90" s="254"/>
    </row>
    <row r="91" spans="3:15" ht="15.75" customHeight="1">
      <c r="C91" s="87">
        <v>42517</v>
      </c>
      <c r="D91" s="31">
        <v>7356.3</v>
      </c>
      <c r="F91" s="73"/>
      <c r="G91" s="248"/>
      <c r="H91" s="248"/>
      <c r="I91" s="131"/>
      <c r="J91" s="255"/>
      <c r="K91" s="255"/>
      <c r="L91" s="255"/>
      <c r="M91" s="255"/>
      <c r="N91" s="254"/>
      <c r="O91" s="254"/>
    </row>
    <row r="92" spans="3:13" ht="15.75" customHeight="1">
      <c r="C92" s="87"/>
      <c r="F92" s="73"/>
      <c r="G92" s="250"/>
      <c r="H92" s="250"/>
      <c r="I92" s="139"/>
      <c r="J92" s="251"/>
      <c r="K92" s="251"/>
      <c r="L92" s="251"/>
      <c r="M92" s="251"/>
    </row>
    <row r="93" spans="2:13" ht="18.75" customHeight="1">
      <c r="B93" s="252" t="s">
        <v>57</v>
      </c>
      <c r="C93" s="253"/>
      <c r="D93" s="148">
        <v>2811.04042</v>
      </c>
      <c r="E93" s="74"/>
      <c r="F93" s="140" t="s">
        <v>137</v>
      </c>
      <c r="G93" s="248"/>
      <c r="H93" s="248"/>
      <c r="I93" s="141"/>
      <c r="J93" s="251"/>
      <c r="K93" s="251"/>
      <c r="L93" s="251"/>
      <c r="M93" s="251"/>
    </row>
    <row r="94" spans="6:12" ht="9.75" customHeight="1">
      <c r="F94" s="73"/>
      <c r="G94" s="248"/>
      <c r="H94" s="248"/>
      <c r="I94" s="73"/>
      <c r="J94" s="74"/>
      <c r="K94" s="74"/>
      <c r="L94" s="74"/>
    </row>
    <row r="95" spans="2:12" ht="22.5" customHeight="1" hidden="1">
      <c r="B95" s="246" t="s">
        <v>60</v>
      </c>
      <c r="C95" s="247"/>
      <c r="D95" s="86">
        <v>0</v>
      </c>
      <c r="E95" s="56" t="s">
        <v>24</v>
      </c>
      <c r="F95" s="73"/>
      <c r="G95" s="248"/>
      <c r="H95" s="248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568</v>
      </c>
      <c r="F96" s="73">
        <f>F44+F47+F48</f>
        <v>117.97999999999999</v>
      </c>
      <c r="G96" s="74"/>
      <c r="H96" s="74"/>
      <c r="I96" s="74"/>
      <c r="N96" s="248"/>
      <c r="O96" s="248"/>
    </row>
    <row r="97" spans="4:15" ht="15">
      <c r="D97" s="83"/>
      <c r="I97" s="31"/>
      <c r="N97" s="249"/>
      <c r="O97" s="249"/>
    </row>
    <row r="98" spans="14:15" ht="15">
      <c r="N98" s="248"/>
      <c r="O98" s="248"/>
    </row>
    <row r="102" ht="15">
      <c r="E102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4:H94"/>
    <mergeCell ref="G90:H90"/>
    <mergeCell ref="J90:M90"/>
    <mergeCell ref="N90:O90"/>
    <mergeCell ref="G91:H91"/>
    <mergeCell ref="J91:M91"/>
    <mergeCell ref="N91:O91"/>
    <mergeCell ref="B95:C95"/>
    <mergeCell ref="G95:H95"/>
    <mergeCell ref="N96:O96"/>
    <mergeCell ref="N97:O97"/>
    <mergeCell ref="N98:O98"/>
    <mergeCell ref="G92:H92"/>
    <mergeCell ref="J92:M92"/>
    <mergeCell ref="B93:C93"/>
    <mergeCell ref="G93:H93"/>
    <mergeCell ref="J93:M93"/>
  </mergeCells>
  <printOptions/>
  <pageMargins left="0" right="0" top="0" bottom="0" header="0" footer="0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8" t="s">
        <v>156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/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78" t="s">
        <v>153</v>
      </c>
      <c r="N3" s="279" t="s">
        <v>154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150</v>
      </c>
      <c r="F4" s="282" t="s">
        <v>34</v>
      </c>
      <c r="G4" s="256" t="s">
        <v>151</v>
      </c>
      <c r="H4" s="264" t="s">
        <v>152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66" t="s">
        <v>157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78.75" customHeight="1">
      <c r="A5" s="271"/>
      <c r="B5" s="272"/>
      <c r="C5" s="273"/>
      <c r="D5" s="274"/>
      <c r="E5" s="281"/>
      <c r="F5" s="283"/>
      <c r="G5" s="257"/>
      <c r="H5" s="265"/>
      <c r="I5" s="257"/>
      <c r="J5" s="265"/>
      <c r="K5" s="259" t="s">
        <v>155</v>
      </c>
      <c r="L5" s="260"/>
      <c r="M5" s="265"/>
      <c r="N5" s="26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1"/>
      <c r="H84" s="261"/>
      <c r="I84" s="261"/>
      <c r="J84" s="261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54"/>
      <c r="O85" s="254"/>
    </row>
    <row r="86" spans="3:15" ht="15">
      <c r="C86" s="87">
        <v>42488</v>
      </c>
      <c r="D86" s="31">
        <v>11419.7</v>
      </c>
      <c r="F86" s="124" t="s">
        <v>59</v>
      </c>
      <c r="G86" s="248"/>
      <c r="H86" s="248"/>
      <c r="I86" s="131"/>
      <c r="J86" s="251"/>
      <c r="K86" s="251"/>
      <c r="L86" s="251"/>
      <c r="M86" s="251"/>
      <c r="N86" s="254"/>
      <c r="O86" s="254"/>
    </row>
    <row r="87" spans="3:15" ht="15.75" customHeight="1">
      <c r="C87" s="87">
        <v>42487</v>
      </c>
      <c r="D87" s="31">
        <v>7800.7</v>
      </c>
      <c r="F87" s="73"/>
      <c r="G87" s="248"/>
      <c r="H87" s="248"/>
      <c r="I87" s="131"/>
      <c r="J87" s="255"/>
      <c r="K87" s="255"/>
      <c r="L87" s="255"/>
      <c r="M87" s="255"/>
      <c r="N87" s="254"/>
      <c r="O87" s="254"/>
    </row>
    <row r="88" spans="3:13" ht="15.75" customHeight="1">
      <c r="C88" s="87"/>
      <c r="F88" s="73"/>
      <c r="G88" s="250"/>
      <c r="H88" s="250"/>
      <c r="I88" s="139"/>
      <c r="J88" s="251"/>
      <c r="K88" s="251"/>
      <c r="L88" s="251"/>
      <c r="M88" s="251"/>
    </row>
    <row r="89" spans="2:13" ht="18.75" customHeight="1">
      <c r="B89" s="252" t="s">
        <v>57</v>
      </c>
      <c r="C89" s="253"/>
      <c r="D89" s="148">
        <v>9087.9705</v>
      </c>
      <c r="E89" s="74"/>
      <c r="F89" s="140" t="s">
        <v>137</v>
      </c>
      <c r="G89" s="248"/>
      <c r="H89" s="248"/>
      <c r="I89" s="141"/>
      <c r="J89" s="251"/>
      <c r="K89" s="251"/>
      <c r="L89" s="251"/>
      <c r="M89" s="251"/>
    </row>
    <row r="90" spans="6:12" ht="9.75" customHeight="1">
      <c r="F90" s="73"/>
      <c r="G90" s="248"/>
      <c r="H90" s="248"/>
      <c r="I90" s="73"/>
      <c r="J90" s="74"/>
      <c r="K90" s="74"/>
      <c r="L90" s="74"/>
    </row>
    <row r="91" spans="2:12" ht="22.5" customHeight="1" hidden="1">
      <c r="B91" s="246" t="s">
        <v>60</v>
      </c>
      <c r="C91" s="247"/>
      <c r="D91" s="86">
        <v>0</v>
      </c>
      <c r="E91" s="56" t="s">
        <v>24</v>
      </c>
      <c r="F91" s="73"/>
      <c r="G91" s="248"/>
      <c r="H91" s="248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48"/>
      <c r="O92" s="248"/>
    </row>
    <row r="93" spans="4:15" ht="15">
      <c r="D93" s="83"/>
      <c r="I93" s="31"/>
      <c r="N93" s="249"/>
      <c r="O93" s="249"/>
    </row>
    <row r="94" spans="14:15" ht="15">
      <c r="N94" s="248"/>
      <c r="O94" s="248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8" t="s">
        <v>148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/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78" t="s">
        <v>147</v>
      </c>
      <c r="N3" s="279" t="s">
        <v>143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146</v>
      </c>
      <c r="F4" s="282" t="s">
        <v>34</v>
      </c>
      <c r="G4" s="256" t="s">
        <v>141</v>
      </c>
      <c r="H4" s="264" t="s">
        <v>142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66" t="s">
        <v>149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78.75" customHeight="1">
      <c r="A5" s="271"/>
      <c r="B5" s="272"/>
      <c r="C5" s="273"/>
      <c r="D5" s="274"/>
      <c r="E5" s="281"/>
      <c r="F5" s="283"/>
      <c r="G5" s="257"/>
      <c r="H5" s="265"/>
      <c r="I5" s="257"/>
      <c r="J5" s="265"/>
      <c r="K5" s="259" t="s">
        <v>144</v>
      </c>
      <c r="L5" s="260"/>
      <c r="M5" s="265"/>
      <c r="N5" s="26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1"/>
      <c r="H83" s="261"/>
      <c r="I83" s="261"/>
      <c r="J83" s="261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54"/>
      <c r="O84" s="254"/>
    </row>
    <row r="85" spans="3:15" ht="15">
      <c r="C85" s="87">
        <v>42459</v>
      </c>
      <c r="D85" s="31">
        <v>7576.3</v>
      </c>
      <c r="F85" s="124" t="s">
        <v>59</v>
      </c>
      <c r="G85" s="248"/>
      <c r="H85" s="248"/>
      <c r="I85" s="131"/>
      <c r="J85" s="251"/>
      <c r="K85" s="251"/>
      <c r="L85" s="251"/>
      <c r="M85" s="251"/>
      <c r="N85" s="254"/>
      <c r="O85" s="254"/>
    </row>
    <row r="86" spans="3:15" ht="15.75" customHeight="1">
      <c r="C86" s="87">
        <v>42458</v>
      </c>
      <c r="D86" s="31">
        <v>9190.1</v>
      </c>
      <c r="F86" s="73"/>
      <c r="G86" s="248"/>
      <c r="H86" s="248"/>
      <c r="I86" s="131"/>
      <c r="J86" s="255"/>
      <c r="K86" s="255"/>
      <c r="L86" s="255"/>
      <c r="M86" s="255"/>
      <c r="N86" s="254"/>
      <c r="O86" s="254"/>
    </row>
    <row r="87" spans="3:13" ht="15.75" customHeight="1">
      <c r="C87" s="87"/>
      <c r="F87" s="73"/>
      <c r="G87" s="250"/>
      <c r="H87" s="250"/>
      <c r="I87" s="139"/>
      <c r="J87" s="251"/>
      <c r="K87" s="251"/>
      <c r="L87" s="251"/>
      <c r="M87" s="251"/>
    </row>
    <row r="88" spans="2:13" ht="18.75" customHeight="1">
      <c r="B88" s="252" t="s">
        <v>57</v>
      </c>
      <c r="C88" s="253"/>
      <c r="D88" s="148">
        <f>4343.7</f>
        <v>4343.7</v>
      </c>
      <c r="E88" s="74"/>
      <c r="F88" s="140" t="s">
        <v>137</v>
      </c>
      <c r="G88" s="248"/>
      <c r="H88" s="248"/>
      <c r="I88" s="141"/>
      <c r="J88" s="251"/>
      <c r="K88" s="251"/>
      <c r="L88" s="251"/>
      <c r="M88" s="251"/>
    </row>
    <row r="89" spans="6:12" ht="9.75" customHeight="1">
      <c r="F89" s="73"/>
      <c r="G89" s="248"/>
      <c r="H89" s="248"/>
      <c r="I89" s="73"/>
      <c r="J89" s="74"/>
      <c r="K89" s="74"/>
      <c r="L89" s="74"/>
    </row>
    <row r="90" spans="2:12" ht="22.5" customHeight="1" hidden="1">
      <c r="B90" s="246" t="s">
        <v>60</v>
      </c>
      <c r="C90" s="247"/>
      <c r="D90" s="86">
        <v>0</v>
      </c>
      <c r="E90" s="56" t="s">
        <v>24</v>
      </c>
      <c r="F90" s="73"/>
      <c r="G90" s="248"/>
      <c r="H90" s="24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8"/>
      <c r="O91" s="248"/>
    </row>
    <row r="92" spans="4:15" ht="15">
      <c r="D92" s="83"/>
      <c r="I92" s="31"/>
      <c r="N92" s="249"/>
      <c r="O92" s="249"/>
    </row>
    <row r="93" spans="14:15" ht="15">
      <c r="N93" s="248"/>
      <c r="O93" s="24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8" t="s">
        <v>139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/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85" t="s">
        <v>128</v>
      </c>
      <c r="N3" s="279" t="s">
        <v>119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127</v>
      </c>
      <c r="F4" s="282" t="s">
        <v>34</v>
      </c>
      <c r="G4" s="256" t="s">
        <v>116</v>
      </c>
      <c r="H4" s="264" t="s">
        <v>117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66" t="s">
        <v>140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92.25" customHeight="1">
      <c r="A5" s="271"/>
      <c r="B5" s="272"/>
      <c r="C5" s="273"/>
      <c r="D5" s="274"/>
      <c r="E5" s="281"/>
      <c r="F5" s="283"/>
      <c r="G5" s="257"/>
      <c r="H5" s="265"/>
      <c r="I5" s="257"/>
      <c r="J5" s="265"/>
      <c r="K5" s="259" t="s">
        <v>118</v>
      </c>
      <c r="L5" s="260"/>
      <c r="M5" s="265"/>
      <c r="N5" s="26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1"/>
      <c r="H83" s="261"/>
      <c r="I83" s="261"/>
      <c r="J83" s="261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54"/>
      <c r="O84" s="254"/>
    </row>
    <row r="85" spans="3:15" ht="15">
      <c r="C85" s="87">
        <v>42426</v>
      </c>
      <c r="D85" s="31">
        <v>6256.2</v>
      </c>
      <c r="F85" s="124" t="s">
        <v>59</v>
      </c>
      <c r="G85" s="248"/>
      <c r="H85" s="248"/>
      <c r="I85" s="131"/>
      <c r="J85" s="251"/>
      <c r="K85" s="251"/>
      <c r="L85" s="251"/>
      <c r="M85" s="251"/>
      <c r="N85" s="254"/>
      <c r="O85" s="254"/>
    </row>
    <row r="86" spans="3:15" ht="15.75" customHeight="1">
      <c r="C86" s="87">
        <v>42425</v>
      </c>
      <c r="D86" s="31">
        <v>3536.9</v>
      </c>
      <c r="F86" s="73"/>
      <c r="G86" s="248"/>
      <c r="H86" s="248"/>
      <c r="I86" s="131"/>
      <c r="J86" s="255"/>
      <c r="K86" s="255"/>
      <c r="L86" s="255"/>
      <c r="M86" s="255"/>
      <c r="N86" s="254"/>
      <c r="O86" s="254"/>
    </row>
    <row r="87" spans="3:13" ht="15.75" customHeight="1">
      <c r="C87" s="87"/>
      <c r="F87" s="73"/>
      <c r="G87" s="250"/>
      <c r="H87" s="250"/>
      <c r="I87" s="139"/>
      <c r="J87" s="251"/>
      <c r="K87" s="251"/>
      <c r="L87" s="251"/>
      <c r="M87" s="251"/>
    </row>
    <row r="88" spans="2:13" ht="18.75" customHeight="1">
      <c r="B88" s="252" t="s">
        <v>57</v>
      </c>
      <c r="C88" s="253"/>
      <c r="D88" s="148">
        <v>505.3</v>
      </c>
      <c r="E88" s="74"/>
      <c r="F88" s="140" t="s">
        <v>137</v>
      </c>
      <c r="G88" s="248"/>
      <c r="H88" s="248"/>
      <c r="I88" s="141"/>
      <c r="J88" s="251"/>
      <c r="K88" s="251"/>
      <c r="L88" s="251"/>
      <c r="M88" s="251"/>
    </row>
    <row r="89" spans="6:12" ht="9.75" customHeight="1">
      <c r="F89" s="73"/>
      <c r="G89" s="248"/>
      <c r="H89" s="248"/>
      <c r="I89" s="73"/>
      <c r="J89" s="74"/>
      <c r="K89" s="74"/>
      <c r="L89" s="74"/>
    </row>
    <row r="90" spans="2:12" ht="22.5" customHeight="1" hidden="1">
      <c r="B90" s="246" t="s">
        <v>60</v>
      </c>
      <c r="C90" s="247"/>
      <c r="D90" s="86">
        <v>0</v>
      </c>
      <c r="E90" s="56" t="s">
        <v>24</v>
      </c>
      <c r="F90" s="73"/>
      <c r="G90" s="248"/>
      <c r="H90" s="24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8"/>
      <c r="O91" s="248"/>
    </row>
    <row r="92" spans="4:15" ht="15">
      <c r="D92" s="83"/>
      <c r="I92" s="31"/>
      <c r="N92" s="249"/>
      <c r="O92" s="249"/>
    </row>
    <row r="93" spans="14:15" ht="15">
      <c r="N93" s="248"/>
      <c r="O93" s="24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8" t="s">
        <v>114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 t="s">
        <v>135</v>
      </c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85" t="s">
        <v>132</v>
      </c>
      <c r="N3" s="279" t="s">
        <v>66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129</v>
      </c>
      <c r="F4" s="282" t="s">
        <v>34</v>
      </c>
      <c r="G4" s="256" t="s">
        <v>130</v>
      </c>
      <c r="H4" s="264" t="s">
        <v>131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86" t="s">
        <v>133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92.25" customHeight="1">
      <c r="A5" s="271"/>
      <c r="B5" s="272"/>
      <c r="C5" s="273"/>
      <c r="D5" s="274"/>
      <c r="E5" s="281"/>
      <c r="F5" s="283"/>
      <c r="G5" s="257"/>
      <c r="H5" s="265"/>
      <c r="I5" s="257"/>
      <c r="J5" s="265"/>
      <c r="K5" s="259" t="s">
        <v>134</v>
      </c>
      <c r="L5" s="260"/>
      <c r="M5" s="265"/>
      <c r="N5" s="28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1"/>
      <c r="H83" s="261"/>
      <c r="I83" s="261"/>
      <c r="J83" s="261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54"/>
      <c r="O84" s="254"/>
    </row>
    <row r="85" spans="3:15" ht="15">
      <c r="C85" s="87">
        <v>42397</v>
      </c>
      <c r="D85" s="31">
        <v>8685</v>
      </c>
      <c r="F85" s="124" t="s">
        <v>59</v>
      </c>
      <c r="G85" s="248"/>
      <c r="H85" s="248"/>
      <c r="I85" s="131"/>
      <c r="J85" s="251"/>
      <c r="K85" s="251"/>
      <c r="L85" s="251"/>
      <c r="M85" s="251"/>
      <c r="N85" s="254"/>
      <c r="O85" s="254"/>
    </row>
    <row r="86" spans="3:15" ht="15.75" customHeight="1">
      <c r="C86" s="87">
        <v>42396</v>
      </c>
      <c r="D86" s="31">
        <v>4820.3</v>
      </c>
      <c r="F86" s="73"/>
      <c r="G86" s="248"/>
      <c r="H86" s="248"/>
      <c r="I86" s="131"/>
      <c r="J86" s="255"/>
      <c r="K86" s="255"/>
      <c r="L86" s="255"/>
      <c r="M86" s="255"/>
      <c r="N86" s="254"/>
      <c r="O86" s="254"/>
    </row>
    <row r="87" spans="3:13" ht="15.75" customHeight="1">
      <c r="C87" s="87"/>
      <c r="F87" s="73"/>
      <c r="G87" s="250"/>
      <c r="H87" s="250"/>
      <c r="I87" s="139"/>
      <c r="J87" s="251"/>
      <c r="K87" s="251"/>
      <c r="L87" s="251"/>
      <c r="M87" s="251"/>
    </row>
    <row r="88" spans="2:13" ht="18.75" customHeight="1">
      <c r="B88" s="252" t="s">
        <v>57</v>
      </c>
      <c r="C88" s="253"/>
      <c r="D88" s="148">
        <v>300.92</v>
      </c>
      <c r="E88" s="74"/>
      <c r="F88" s="140"/>
      <c r="G88" s="248"/>
      <c r="H88" s="248"/>
      <c r="I88" s="141"/>
      <c r="J88" s="251"/>
      <c r="K88" s="251"/>
      <c r="L88" s="251"/>
      <c r="M88" s="251"/>
    </row>
    <row r="89" spans="6:12" ht="9.75" customHeight="1">
      <c r="F89" s="73"/>
      <c r="G89" s="248"/>
      <c r="H89" s="248"/>
      <c r="I89" s="73"/>
      <c r="J89" s="74"/>
      <c r="K89" s="74"/>
      <c r="L89" s="74"/>
    </row>
    <row r="90" spans="2:12" ht="22.5" customHeight="1" hidden="1">
      <c r="B90" s="246" t="s">
        <v>60</v>
      </c>
      <c r="C90" s="247"/>
      <c r="D90" s="86">
        <v>0</v>
      </c>
      <c r="E90" s="56" t="s">
        <v>24</v>
      </c>
      <c r="F90" s="73"/>
      <c r="G90" s="248"/>
      <c r="H90" s="24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8"/>
      <c r="O91" s="248"/>
    </row>
    <row r="92" spans="4:15" ht="15">
      <c r="D92" s="83"/>
      <c r="I92" s="31"/>
      <c r="N92" s="249"/>
      <c r="O92" s="249"/>
    </row>
    <row r="93" spans="14:15" ht="15">
      <c r="N93" s="248"/>
      <c r="O93" s="248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8" t="s">
        <v>114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84"/>
      <c r="C2" s="284"/>
      <c r="D2" s="284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 t="s">
        <v>136</v>
      </c>
      <c r="C3" s="273" t="s">
        <v>0</v>
      </c>
      <c r="D3" s="274" t="s">
        <v>115</v>
      </c>
      <c r="E3" s="34"/>
      <c r="F3" s="275" t="s">
        <v>26</v>
      </c>
      <c r="G3" s="276"/>
      <c r="H3" s="276"/>
      <c r="I3" s="276"/>
      <c r="J3" s="277"/>
      <c r="K3" s="89"/>
      <c r="L3" s="89"/>
      <c r="M3" s="285" t="s">
        <v>107</v>
      </c>
      <c r="N3" s="279" t="s">
        <v>66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104</v>
      </c>
      <c r="F4" s="288" t="s">
        <v>34</v>
      </c>
      <c r="G4" s="256" t="s">
        <v>109</v>
      </c>
      <c r="H4" s="264" t="s">
        <v>110</v>
      </c>
      <c r="I4" s="256" t="s">
        <v>105</v>
      </c>
      <c r="J4" s="264" t="s">
        <v>106</v>
      </c>
      <c r="K4" s="91" t="s">
        <v>65</v>
      </c>
      <c r="L4" s="96" t="s">
        <v>64</v>
      </c>
      <c r="M4" s="264"/>
      <c r="N4" s="286" t="s">
        <v>103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76.5" customHeight="1">
      <c r="A5" s="271"/>
      <c r="B5" s="272"/>
      <c r="C5" s="273"/>
      <c r="D5" s="274"/>
      <c r="E5" s="281"/>
      <c r="F5" s="289"/>
      <c r="G5" s="257"/>
      <c r="H5" s="265"/>
      <c r="I5" s="257"/>
      <c r="J5" s="265"/>
      <c r="K5" s="259" t="s">
        <v>108</v>
      </c>
      <c r="L5" s="260"/>
      <c r="M5" s="265"/>
      <c r="N5" s="287"/>
      <c r="O5" s="257"/>
      <c r="P5" s="258"/>
      <c r="Q5" s="259" t="s">
        <v>126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1"/>
      <c r="H82" s="261"/>
      <c r="I82" s="261"/>
      <c r="J82" s="261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54"/>
      <c r="O83" s="254"/>
    </row>
    <row r="84" spans="3:15" ht="15">
      <c r="C84" s="87">
        <v>42397</v>
      </c>
      <c r="D84" s="31">
        <v>8685</v>
      </c>
      <c r="F84" s="166" t="s">
        <v>59</v>
      </c>
      <c r="G84" s="248"/>
      <c r="H84" s="248"/>
      <c r="I84" s="131"/>
      <c r="J84" s="251"/>
      <c r="K84" s="251"/>
      <c r="L84" s="251"/>
      <c r="M84" s="251"/>
      <c r="N84" s="254"/>
      <c r="O84" s="254"/>
    </row>
    <row r="85" spans="3:15" ht="15.75" customHeight="1">
      <c r="C85" s="87">
        <v>42396</v>
      </c>
      <c r="D85" s="31">
        <v>4820.3</v>
      </c>
      <c r="F85" s="167"/>
      <c r="G85" s="248"/>
      <c r="H85" s="248"/>
      <c r="I85" s="131"/>
      <c r="J85" s="255"/>
      <c r="K85" s="255"/>
      <c r="L85" s="255"/>
      <c r="M85" s="255"/>
      <c r="N85" s="254"/>
      <c r="O85" s="254"/>
    </row>
    <row r="86" spans="3:13" ht="15.75" customHeight="1">
      <c r="C86" s="87"/>
      <c r="F86" s="167"/>
      <c r="G86" s="250"/>
      <c r="H86" s="250"/>
      <c r="I86" s="139"/>
      <c r="J86" s="251"/>
      <c r="K86" s="251"/>
      <c r="L86" s="251"/>
      <c r="M86" s="251"/>
    </row>
    <row r="87" spans="2:13" ht="18.75" customHeight="1">
      <c r="B87" s="252" t="s">
        <v>57</v>
      </c>
      <c r="C87" s="253"/>
      <c r="D87" s="148">
        <v>300.92</v>
      </c>
      <c r="E87" s="74"/>
      <c r="F87" s="168"/>
      <c r="G87" s="248"/>
      <c r="H87" s="248"/>
      <c r="I87" s="141"/>
      <c r="J87" s="251"/>
      <c r="K87" s="251"/>
      <c r="L87" s="251"/>
      <c r="M87" s="251"/>
    </row>
    <row r="88" spans="6:12" ht="9.75" customHeight="1">
      <c r="F88" s="167"/>
      <c r="G88" s="248"/>
      <c r="H88" s="248"/>
      <c r="I88" s="73"/>
      <c r="J88" s="74"/>
      <c r="K88" s="74"/>
      <c r="L88" s="74"/>
    </row>
    <row r="89" spans="2:12" ht="22.5" customHeight="1" hidden="1">
      <c r="B89" s="246" t="s">
        <v>60</v>
      </c>
      <c r="C89" s="247"/>
      <c r="D89" s="86">
        <v>0</v>
      </c>
      <c r="E89" s="56" t="s">
        <v>24</v>
      </c>
      <c r="F89" s="167"/>
      <c r="G89" s="248"/>
      <c r="H89" s="248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48"/>
      <c r="O90" s="248"/>
    </row>
    <row r="91" spans="4:15" ht="15">
      <c r="D91" s="83"/>
      <c r="I91" s="31"/>
      <c r="N91" s="249"/>
      <c r="O91" s="249"/>
    </row>
    <row r="92" spans="14:15" ht="15">
      <c r="N92" s="248"/>
      <c r="O92" s="248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2016-06-07T07:34:42Z</cp:lastPrinted>
  <dcterms:created xsi:type="dcterms:W3CDTF">2003-07-28T11:27:56Z</dcterms:created>
  <dcterms:modified xsi:type="dcterms:W3CDTF">2016-06-07T08:03:16Z</dcterms:modified>
  <cp:category/>
  <cp:version/>
  <cp:contentType/>
  <cp:contentStatus/>
</cp:coreProperties>
</file>